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DATOS" sheetId="1" r:id="rId1"/>
    <sheet name="FORMULA#1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<sst xmlns="http://schemas.openxmlformats.org/spreadsheetml/2006/main" count="77" uniqueCount="59">
  <si>
    <t>PROPONENTES</t>
  </si>
  <si>
    <t>PRESUPUESTO OFICIAL</t>
  </si>
  <si>
    <t>RANGO ADMISIBLE</t>
  </si>
  <si>
    <t>SI</t>
  </si>
  <si>
    <t>NO</t>
  </si>
  <si>
    <t>EVALUACIÓN</t>
  </si>
  <si>
    <t>Factor Multiplicador y correcto diligenciamiento del formulario</t>
  </si>
  <si>
    <t>Valor en el rango admisible</t>
  </si>
  <si>
    <t>ADMISIBLE PARA LA EVALUACIÓN</t>
  </si>
  <si>
    <t>RANGO DE ELEGIBILIDAD (RE)</t>
  </si>
  <si>
    <t>VALOR BASICO DE LA PROPUESTA</t>
  </si>
  <si>
    <t>VALOR BÁSICO ADMISIBLE</t>
  </si>
  <si>
    <t>NUMERO DE PROPONENTES</t>
  </si>
  <si>
    <t>VALOR PROMEDIO 1</t>
  </si>
  <si>
    <t>VRP 1-2%</t>
  </si>
  <si>
    <t>VRP 1+2%</t>
  </si>
  <si>
    <t>PROPUESTAS ELEGIDAS POR EL VRP 1</t>
  </si>
  <si>
    <t>VALOR PROMEDIO 2</t>
  </si>
  <si>
    <t>VR. PRESUPUESTO OFICIAL (VPO)</t>
  </si>
  <si>
    <t>VR. PROMEDIO 1 (VRP1)</t>
  </si>
  <si>
    <t>VR. PROMEDIO 2 (VRP2)</t>
  </si>
  <si>
    <t>Propuesta hábil más baja  dentro RE ( PMVR0)</t>
  </si>
  <si>
    <t xml:space="preserve">VALOR PROMEDIO FINAL </t>
  </si>
  <si>
    <t>FORMULA #1 VALOR PROMEDIO</t>
  </si>
  <si>
    <t>NUMERO DE PROPONENTES ADMISIBLES</t>
  </si>
  <si>
    <t>PNVRO</t>
  </si>
  <si>
    <t>PMVRO</t>
  </si>
  <si>
    <t>DISCREPANCIA FINAL</t>
  </si>
  <si>
    <t>UNIVERSIDAD DEL CAUCA</t>
  </si>
  <si>
    <t>No.</t>
  </si>
  <si>
    <t>COMENTARIO IMPORTANTE</t>
  </si>
  <si>
    <t>Propuesta hábil más alta  dentro RE ( PNVR0)</t>
  </si>
  <si>
    <t>CRITERIO PNVR0 Y PMVR0</t>
  </si>
  <si>
    <t>PROGRAMADORES_</t>
  </si>
  <si>
    <t>JUAN PABLO MELO ORTIZ</t>
  </si>
  <si>
    <t>NIKANDRO MUÑOZ</t>
  </si>
  <si>
    <t>PRESUPUESTO OFICIAL ANTES DE IVA</t>
  </si>
  <si>
    <t>CESAR ANTONIO RESTREPO</t>
  </si>
  <si>
    <t>HUGO ANDRES RIVERA</t>
  </si>
  <si>
    <t>JUAN CARLOS COLLAZOS</t>
  </si>
  <si>
    <t>JUAN CARLOS FOLLECO</t>
  </si>
  <si>
    <t>ALVARO CARVAJAL VALENCIA</t>
  </si>
  <si>
    <t>MARIA EUGENIA TRUJILLO</t>
  </si>
  <si>
    <t>ANDRES FELIPE ACOSTA</t>
  </si>
  <si>
    <t>ALVARO FELIPE URRUTIA</t>
  </si>
  <si>
    <t>ORLANDO HURTADO FERNANDEZ</t>
  </si>
  <si>
    <t>CARMEN GIRLESA VERA</t>
  </si>
  <si>
    <t>DIEGO REINEL FERNANDEZ</t>
  </si>
  <si>
    <t>ROBERT DE JESUS HOYOS</t>
  </si>
  <si>
    <t>LUCERCIA MONTILLA</t>
  </si>
  <si>
    <t>FIDEL MODESTO MOSQUERA</t>
  </si>
  <si>
    <t>HELIO JOSE LOMBANA</t>
  </si>
  <si>
    <t>VICERRECTORIA ADMINISTRATIVA</t>
  </si>
  <si>
    <t xml:space="preserve">OBRA CIVIL A TODO COSTO PARA LA CONSTRUCCION DE UNA CANCHA DE VOLEYBOL Y UNA CANCHA MULTIPLE EN EL CENTRO </t>
  </si>
  <si>
    <t>DEPORTIVO UNIVERSITARIO CDU DE LA UNIVERSIDAD DEL CAUCA</t>
  </si>
  <si>
    <t>APLICACIÓN DE LA FORMULA No.  1</t>
  </si>
  <si>
    <r>
      <t xml:space="preserve">INVITACIÓN A COTIZAR  </t>
    </r>
    <r>
      <rPr>
        <b/>
        <sz val="9"/>
        <rFont val="Tahoma"/>
        <family val="2"/>
      </rPr>
      <t>No. 055</t>
    </r>
    <r>
      <rPr>
        <b/>
        <sz val="9"/>
        <color indexed="8"/>
        <rFont val="Tahoma"/>
        <family val="2"/>
      </rPr>
      <t xml:space="preserve"> DE  2010</t>
    </r>
  </si>
  <si>
    <t>No. ORDEN</t>
  </si>
  <si>
    <t>Noviembre 10 de 2010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</si>
</sst>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  <numFmt numFmtId="203" formatCode="[$$-240A]\ #,##0.0000"/>
    <numFmt numFmtId="204" formatCode="[$$-240A]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80" fontId="0" fillId="35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/>
    </xf>
    <xf numFmtId="184" fontId="0" fillId="0" borderId="10" xfId="0" applyNumberFormat="1" applyFill="1" applyBorder="1" applyAlignment="1">
      <alignment horizontal="right"/>
    </xf>
    <xf numFmtId="184" fontId="9" fillId="33" borderId="1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204" fontId="0" fillId="33" borderId="10" xfId="0" applyNumberForma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35" borderId="10" xfId="0" applyNumberFormat="1" applyFill="1" applyBorder="1" applyAlignment="1">
      <alignment/>
    </xf>
    <xf numFmtId="180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 horizontal="left"/>
    </xf>
    <xf numFmtId="180" fontId="0" fillId="39" borderId="10" xfId="0" applyNumberForma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40" borderId="15" xfId="0" applyFill="1" applyBorder="1" applyAlignment="1">
      <alignment/>
    </xf>
    <xf numFmtId="180" fontId="5" fillId="40" borderId="1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0" fillId="40" borderId="20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51" t="s">
        <v>28</v>
      </c>
      <c r="B1" s="52"/>
      <c r="C1" s="52"/>
      <c r="D1" s="52"/>
      <c r="E1" s="52"/>
      <c r="F1" s="53"/>
    </row>
    <row r="3" spans="1:6" ht="24" customHeight="1">
      <c r="A3" s="54" t="s">
        <v>30</v>
      </c>
      <c r="B3" s="54"/>
      <c r="E3" s="55"/>
      <c r="F3" s="55"/>
    </row>
    <row r="4" spans="1:6" ht="25.5" customHeight="1">
      <c r="A4" s="4">
        <v>1</v>
      </c>
      <c r="B4" s="4" t="s">
        <v>36</v>
      </c>
      <c r="C4" s="29">
        <v>84003063</v>
      </c>
      <c r="E4" s="55"/>
      <c r="F4" s="55"/>
    </row>
    <row r="5" spans="5:6" ht="15">
      <c r="E5" s="55"/>
      <c r="F5" s="55"/>
    </row>
    <row r="6" spans="1:6" ht="45">
      <c r="A6" s="4" t="s">
        <v>29</v>
      </c>
      <c r="B6" s="4" t="s">
        <v>0</v>
      </c>
      <c r="C6" s="18" t="s">
        <v>10</v>
      </c>
      <c r="E6" s="55"/>
      <c r="F6" s="55"/>
    </row>
    <row r="7" spans="1:6" ht="15">
      <c r="A7" s="17">
        <v>1</v>
      </c>
      <c r="B7" s="24" t="s">
        <v>37</v>
      </c>
      <c r="C7" s="23">
        <v>82905062</v>
      </c>
      <c r="E7" s="55"/>
      <c r="F7" s="55"/>
    </row>
    <row r="8" spans="1:6" ht="15">
      <c r="A8" s="17">
        <v>2</v>
      </c>
      <c r="B8" s="24" t="s">
        <v>38</v>
      </c>
      <c r="C8" s="23">
        <v>83427446</v>
      </c>
      <c r="E8" s="55"/>
      <c r="F8" s="55"/>
    </row>
    <row r="9" spans="1:6" ht="15">
      <c r="A9" s="17">
        <v>3</v>
      </c>
      <c r="B9" s="24" t="s">
        <v>39</v>
      </c>
      <c r="C9" s="23">
        <v>83674655</v>
      </c>
      <c r="E9" s="55"/>
      <c r="F9" s="55"/>
    </row>
    <row r="10" spans="1:6" ht="15">
      <c r="A10" s="17">
        <v>4</v>
      </c>
      <c r="B10" s="24" t="s">
        <v>40</v>
      </c>
      <c r="C10" s="23">
        <v>0</v>
      </c>
      <c r="E10" s="55"/>
      <c r="F10" s="55"/>
    </row>
    <row r="11" spans="1:6" ht="15">
      <c r="A11" s="17">
        <v>5</v>
      </c>
      <c r="B11" s="24" t="s">
        <v>41</v>
      </c>
      <c r="C11" s="23">
        <v>83330859</v>
      </c>
      <c r="E11" s="55"/>
      <c r="F11" s="55"/>
    </row>
    <row r="12" spans="1:6" ht="15">
      <c r="A12" s="17">
        <v>6</v>
      </c>
      <c r="B12" s="24" t="s">
        <v>42</v>
      </c>
      <c r="C12" s="23">
        <v>82966313</v>
      </c>
      <c r="E12" s="55"/>
      <c r="F12" s="55"/>
    </row>
    <row r="13" spans="1:6" ht="15">
      <c r="A13" s="17">
        <v>7</v>
      </c>
      <c r="B13" s="24" t="s">
        <v>43</v>
      </c>
      <c r="C13" s="23">
        <v>83783028</v>
      </c>
      <c r="E13" s="55"/>
      <c r="F13" s="55"/>
    </row>
    <row r="14" spans="1:6" ht="15">
      <c r="A14" s="17">
        <v>8</v>
      </c>
      <c r="B14" s="24" t="s">
        <v>44</v>
      </c>
      <c r="C14" s="23">
        <v>83070662</v>
      </c>
      <c r="E14" s="55"/>
      <c r="F14" s="55"/>
    </row>
    <row r="15" spans="1:6" ht="15">
      <c r="A15" s="17">
        <v>9</v>
      </c>
      <c r="B15" s="24" t="s">
        <v>45</v>
      </c>
      <c r="C15" s="23">
        <v>82999208</v>
      </c>
      <c r="E15" s="55"/>
      <c r="F15" s="55"/>
    </row>
    <row r="16" spans="1:6" ht="15">
      <c r="A16" s="17">
        <v>10</v>
      </c>
      <c r="B16" s="24" t="s">
        <v>46</v>
      </c>
      <c r="C16" s="23">
        <v>82646920</v>
      </c>
      <c r="E16" s="55"/>
      <c r="F16" s="55"/>
    </row>
    <row r="17" spans="1:6" ht="15">
      <c r="A17" s="17">
        <v>11</v>
      </c>
      <c r="B17" s="24" t="s">
        <v>47</v>
      </c>
      <c r="C17" s="23">
        <v>83726125</v>
      </c>
      <c r="E17" s="55"/>
      <c r="F17" s="55"/>
    </row>
    <row r="18" spans="1:3" ht="15">
      <c r="A18" s="17">
        <v>12</v>
      </c>
      <c r="B18" s="24" t="s">
        <v>48</v>
      </c>
      <c r="C18" s="23">
        <v>83616648</v>
      </c>
    </row>
    <row r="19" spans="1:6" ht="16.5">
      <c r="A19" s="17">
        <v>13</v>
      </c>
      <c r="B19" s="24" t="s">
        <v>49</v>
      </c>
      <c r="C19" s="23">
        <v>83435063</v>
      </c>
      <c r="E19" s="56" t="s">
        <v>33</v>
      </c>
      <c r="F19" s="56"/>
    </row>
    <row r="20" spans="1:6" ht="15">
      <c r="A20" s="17">
        <v>14</v>
      </c>
      <c r="B20" s="24" t="s">
        <v>50</v>
      </c>
      <c r="C20" s="23">
        <v>83269038</v>
      </c>
      <c r="E20" s="50" t="s">
        <v>34</v>
      </c>
      <c r="F20" s="50"/>
    </row>
    <row r="21" spans="1:6" ht="15">
      <c r="A21" s="17">
        <v>15</v>
      </c>
      <c r="B21" s="24" t="s">
        <v>51</v>
      </c>
      <c r="C21" s="23">
        <v>82981053</v>
      </c>
      <c r="E21" s="50"/>
      <c r="F21" s="50"/>
    </row>
    <row r="22" spans="1:6" ht="15">
      <c r="A22" s="17">
        <v>16</v>
      </c>
      <c r="B22" s="27">
        <v>0</v>
      </c>
      <c r="C22" s="23">
        <v>0</v>
      </c>
      <c r="E22" s="50" t="s">
        <v>35</v>
      </c>
      <c r="F22" s="50"/>
    </row>
    <row r="23" spans="1:6" ht="15">
      <c r="A23" s="17">
        <v>17</v>
      </c>
      <c r="B23" s="27">
        <v>0</v>
      </c>
      <c r="C23" s="23">
        <v>0</v>
      </c>
      <c r="E23" s="50"/>
      <c r="F23" s="50"/>
    </row>
    <row r="24" spans="1:6" ht="15">
      <c r="A24" s="17">
        <v>18</v>
      </c>
      <c r="B24" s="28">
        <v>0</v>
      </c>
      <c r="C24" s="23">
        <v>0</v>
      </c>
      <c r="E24" s="10"/>
      <c r="F24" s="10"/>
    </row>
    <row r="25" spans="1:6" ht="15">
      <c r="A25" s="17">
        <v>19</v>
      </c>
      <c r="B25" s="28">
        <v>0</v>
      </c>
      <c r="C25" s="23">
        <v>0</v>
      </c>
      <c r="E25" s="10"/>
      <c r="F25" s="10"/>
    </row>
    <row r="26" spans="1:3" ht="15">
      <c r="A26" s="17">
        <v>20</v>
      </c>
      <c r="B26" s="28">
        <v>0</v>
      </c>
      <c r="C26" s="23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PageLayoutView="0" workbookViewId="0" topLeftCell="A7">
      <selection activeCell="A21" sqref="A21"/>
    </sheetView>
  </sheetViews>
  <sheetFormatPr defaultColWidth="11.421875" defaultRowHeight="15" outlineLevelCol="1"/>
  <cols>
    <col min="1" max="1" width="8.421875" style="0" customWidth="1"/>
    <col min="2" max="2" width="35.140625" style="0" customWidth="1"/>
    <col min="3" max="3" width="19.8515625" style="0" customWidth="1"/>
    <col min="4" max="4" width="23.140625" style="0" customWidth="1"/>
    <col min="5" max="5" width="15.28125" style="0" customWidth="1"/>
    <col min="6" max="6" width="17.140625" style="0" customWidth="1"/>
    <col min="7" max="7" width="16.57421875" style="0" hidden="1" customWidth="1" outlineLevel="1"/>
    <col min="8" max="9" width="14.00390625" style="0" hidden="1" customWidth="1" outlineLevel="1"/>
    <col min="10" max="10" width="13.28125" style="0" hidden="1" customWidth="1" outlineLevel="1"/>
    <col min="11" max="12" width="14.8515625" style="0" hidden="1" customWidth="1" outlineLevel="1"/>
    <col min="13" max="13" width="15.28125" style="0" hidden="1" customWidth="1" outlineLevel="1"/>
    <col min="14" max="14" width="14.8515625" style="0" hidden="1" customWidth="1" outlineLevel="1"/>
    <col min="15" max="15" width="16.421875" style="0" hidden="1" customWidth="1" outlineLevel="1"/>
    <col min="16" max="16" width="19.28125" style="0" customWidth="1" collapsed="1"/>
    <col min="17" max="17" width="12.7109375" style="0" customWidth="1"/>
    <col min="18" max="18" width="14.7109375" style="0" hidden="1" customWidth="1" outlineLevel="1"/>
    <col min="19" max="19" width="14.57421875" style="0" hidden="1" customWidth="1" outlineLevel="1"/>
    <col min="20" max="20" width="13.57421875" style="0" hidden="1" customWidth="1" outlineLevel="1"/>
    <col min="21" max="21" width="13.28125" style="0" hidden="1" customWidth="1" outlineLevel="1"/>
    <col min="22" max="22" width="2.7109375" style="0" customWidth="1" collapsed="1"/>
    <col min="23" max="25" width="2.7109375" style="0" customWidth="1"/>
  </cols>
  <sheetData>
    <row r="1" spans="1:25" ht="1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5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5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19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5" ht="15.75">
      <c r="A7" s="58" t="s">
        <v>55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6:25" ht="15">
      <c r="P8" s="61" t="s">
        <v>58</v>
      </c>
      <c r="Q8" s="61"/>
      <c r="R8" s="61"/>
      <c r="S8" s="61"/>
      <c r="T8" s="61"/>
      <c r="U8" s="61"/>
      <c r="V8" s="61"/>
      <c r="W8" s="61"/>
      <c r="X8" s="61"/>
      <c r="Y8" s="61"/>
    </row>
    <row r="9" spans="1:25" ht="33.75" customHeight="1">
      <c r="A9" s="48"/>
      <c r="B9" s="66" t="s">
        <v>23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4" ht="25.5" customHeight="1">
      <c r="A10" s="47">
        <v>1</v>
      </c>
      <c r="B10" s="30" t="s">
        <v>1</v>
      </c>
      <c r="C10" s="32">
        <f>VLOOKUP(A10,PRESUPUESTO,3)</f>
        <v>84003063</v>
      </c>
      <c r="D10" s="19"/>
    </row>
    <row r="11" spans="1:4" ht="27.75" customHeight="1">
      <c r="A11" s="47"/>
      <c r="B11" s="31" t="s">
        <v>2</v>
      </c>
      <c r="C11" s="33">
        <f>C10*0.95</f>
        <v>79802909.85</v>
      </c>
      <c r="D11" s="33">
        <f>C10</f>
        <v>84003063</v>
      </c>
    </row>
    <row r="12" spans="11:12" ht="15">
      <c r="K12" s="63" t="s">
        <v>9</v>
      </c>
      <c r="L12" s="63"/>
    </row>
    <row r="13" spans="1:25" ht="45">
      <c r="A13" s="16" t="s">
        <v>29</v>
      </c>
      <c r="B13" s="4" t="s">
        <v>0</v>
      </c>
      <c r="C13" s="5" t="s">
        <v>10</v>
      </c>
      <c r="D13" s="6" t="s">
        <v>6</v>
      </c>
      <c r="E13" s="35" t="s">
        <v>7</v>
      </c>
      <c r="F13" s="36" t="s">
        <v>8</v>
      </c>
      <c r="G13" s="37" t="s">
        <v>11</v>
      </c>
      <c r="H13" s="37" t="s">
        <v>12</v>
      </c>
      <c r="I13" s="37" t="s">
        <v>24</v>
      </c>
      <c r="J13" s="37" t="s">
        <v>13</v>
      </c>
      <c r="K13" s="38" t="s">
        <v>14</v>
      </c>
      <c r="L13" s="38" t="s">
        <v>15</v>
      </c>
      <c r="M13" s="37" t="s">
        <v>16</v>
      </c>
      <c r="N13" s="37" t="s">
        <v>17</v>
      </c>
      <c r="O13" s="37" t="s">
        <v>32</v>
      </c>
      <c r="P13" s="37" t="s">
        <v>27</v>
      </c>
      <c r="Q13" s="37" t="s">
        <v>5</v>
      </c>
      <c r="V13" s="69" t="s">
        <v>57</v>
      </c>
      <c r="W13" s="70"/>
      <c r="X13" s="70"/>
      <c r="Y13" s="71"/>
    </row>
    <row r="14" spans="1:25" ht="15">
      <c r="A14" s="17">
        <v>1</v>
      </c>
      <c r="B14" s="20" t="str">
        <f aca="true" t="shared" si="0" ref="B14:B27">VLOOKUP(A14,datos,2)</f>
        <v>CESAR ANTONIO RESTREPO</v>
      </c>
      <c r="C14" s="22">
        <f aca="true" t="shared" si="1" ref="C14:C27">VLOOKUP(A14,datos,3)</f>
        <v>82905062</v>
      </c>
      <c r="D14" s="3" t="s">
        <v>3</v>
      </c>
      <c r="E14" s="39" t="str">
        <f>IF(C14&lt;$C$11,"NO",IF(C14&gt;$D$11,"NO","SI"))</f>
        <v>SI</v>
      </c>
      <c r="F14" s="39" t="str">
        <f>IF(AND(D14="SI",E14="SI"),"SI","NO")</f>
        <v>SI</v>
      </c>
      <c r="G14" s="40">
        <f>IF(F14="SI",C14,1)</f>
        <v>82905062</v>
      </c>
      <c r="H14" s="39">
        <f>IF(D32=0,20,20-D32)</f>
        <v>20</v>
      </c>
      <c r="I14" s="39">
        <f>COUNTIF(G14:G27,"&gt;1")</f>
        <v>13</v>
      </c>
      <c r="J14" s="40">
        <f>(SUMIF(G14:G27,"&gt;1"))/$I$14</f>
        <v>83289339.84615384</v>
      </c>
      <c r="K14" s="41">
        <f>J14*0.98</f>
        <v>81623553.04923077</v>
      </c>
      <c r="L14" s="41">
        <f>J14*1.02</f>
        <v>84955126.64307691</v>
      </c>
      <c r="M14" s="42">
        <f aca="true" t="shared" si="2" ref="M14:M27">IF(G14&lt;$K$14,1,IF(G14&gt;$L$14,1,G14))</f>
        <v>82905062</v>
      </c>
      <c r="N14" s="39">
        <f>(SUMIF(M14:M27,"&gt;1"))/$M$29</f>
        <v>83289339.84615384</v>
      </c>
      <c r="O14" s="39">
        <f>IF(M14&lt;$K$14,"P",IF(M14&gt;$J$14,"P",M14))</f>
        <v>82905062</v>
      </c>
      <c r="P14" s="40">
        <f aca="true" t="shared" si="3" ref="P14:P27">IF(M14&gt;1,ABS(M14-$D$40),"N")</f>
        <v>393371.9396086931</v>
      </c>
      <c r="Q14" s="39">
        <f aca="true" t="shared" si="4" ref="Q14:Q27">IF(P14=$P$29,"GANADOR","")</f>
      </c>
      <c r="R14" s="39">
        <f aca="true" t="shared" si="5" ref="R14:R27">IF(P14&lt;&gt;$P$29,P14,"N")</f>
        <v>393371.9396086931</v>
      </c>
      <c r="S14" s="39">
        <f aca="true" t="shared" si="6" ref="S14:S27">IF(R14&lt;&gt;$R$29,R14,"N")</f>
        <v>393371.9396086931</v>
      </c>
      <c r="T14" s="39">
        <f aca="true" t="shared" si="7" ref="T14:T27">IF(S14&lt;&gt;$S$29,S14,"N")</f>
        <v>393371.9396086931</v>
      </c>
      <c r="U14" s="39">
        <f aca="true" t="shared" si="8" ref="U14:U27">IF(T14&lt;&gt;$T$29,T14,"N")</f>
        <v>393371.9396086931</v>
      </c>
      <c r="V14" s="43">
        <f aca="true" t="shared" si="9" ref="V14:V27">IF(R14=$R$29,"2º","")</f>
      </c>
      <c r="W14" s="39">
        <f aca="true" t="shared" si="10" ref="W14:W27">IF(S14=$S$29,"3º","")</f>
      </c>
      <c r="X14" s="39">
        <f aca="true" t="shared" si="11" ref="X14:X27">IF(T14=$T$29,"4º","")</f>
      </c>
      <c r="Y14" s="39">
        <f aca="true" t="shared" si="12" ref="Y14:Y27">IF(U14=$U$29,"5º","")</f>
      </c>
    </row>
    <row r="15" spans="1:25" ht="15">
      <c r="A15" s="17">
        <v>2</v>
      </c>
      <c r="B15" s="20" t="str">
        <f t="shared" si="0"/>
        <v>HUGO ANDRES RIVERA</v>
      </c>
      <c r="C15" s="22">
        <f t="shared" si="1"/>
        <v>83427446</v>
      </c>
      <c r="D15" s="3" t="s">
        <v>3</v>
      </c>
      <c r="E15" s="39" t="str">
        <f aca="true" t="shared" si="13" ref="E15:E27">IF(C15&lt;$C$11,"NO",IF(C15&gt;$D$11,"NO","SI"))</f>
        <v>SI</v>
      </c>
      <c r="F15" s="39" t="str">
        <f aca="true" t="shared" si="14" ref="F15:F27">IF(AND(D15="SI",E15="SI"),"SI","NO")</f>
        <v>SI</v>
      </c>
      <c r="G15" s="40">
        <f aca="true" t="shared" si="15" ref="G15:G27">IF(F15="SI",C15,1)</f>
        <v>83427446</v>
      </c>
      <c r="H15" s="44"/>
      <c r="I15" s="44"/>
      <c r="J15" s="39"/>
      <c r="K15" s="44"/>
      <c r="L15" s="44"/>
      <c r="M15" s="42">
        <f t="shared" si="2"/>
        <v>83427446</v>
      </c>
      <c r="N15" s="44"/>
      <c r="O15" s="39" t="str">
        <f aca="true" t="shared" si="16" ref="O15:O27">IF(M15&lt;$K$14,"P",IF(M15&gt;$J$14,"P",M15))</f>
        <v>P</v>
      </c>
      <c r="P15" s="40">
        <f t="shared" si="3"/>
        <v>129012.06039130688</v>
      </c>
      <c r="Q15" s="39">
        <f t="shared" si="4"/>
      </c>
      <c r="R15" s="39">
        <f t="shared" si="5"/>
        <v>129012.06039130688</v>
      </c>
      <c r="S15" s="39">
        <f t="shared" si="6"/>
        <v>129012.06039130688</v>
      </c>
      <c r="T15" s="39" t="str">
        <f t="shared" si="7"/>
        <v>N</v>
      </c>
      <c r="U15" s="39" t="str">
        <f t="shared" si="8"/>
        <v>N</v>
      </c>
      <c r="V15" s="43">
        <f t="shared" si="9"/>
      </c>
      <c r="W15" s="39" t="str">
        <f t="shared" si="10"/>
        <v>3º</v>
      </c>
      <c r="X15" s="39">
        <f t="shared" si="11"/>
      </c>
      <c r="Y15" s="39">
        <f t="shared" si="12"/>
      </c>
    </row>
    <row r="16" spans="1:25" ht="15">
      <c r="A16" s="17">
        <v>3</v>
      </c>
      <c r="B16" s="20" t="str">
        <f t="shared" si="0"/>
        <v>JUAN CARLOS COLLAZOS</v>
      </c>
      <c r="C16" s="22">
        <f>VLOOKUP(A16,datos,3)</f>
        <v>83674655</v>
      </c>
      <c r="D16" s="3" t="s">
        <v>3</v>
      </c>
      <c r="E16" s="39" t="str">
        <f t="shared" si="13"/>
        <v>SI</v>
      </c>
      <c r="F16" s="39" t="str">
        <f t="shared" si="14"/>
        <v>SI</v>
      </c>
      <c r="G16" s="40">
        <f t="shared" si="15"/>
        <v>83674655</v>
      </c>
      <c r="H16" s="44"/>
      <c r="I16" s="44"/>
      <c r="J16" s="39"/>
      <c r="K16" s="44"/>
      <c r="L16" s="44"/>
      <c r="M16" s="42">
        <f t="shared" si="2"/>
        <v>83674655</v>
      </c>
      <c r="N16" s="44"/>
      <c r="O16" s="39" t="str">
        <f t="shared" si="16"/>
        <v>P</v>
      </c>
      <c r="P16" s="40">
        <f t="shared" si="3"/>
        <v>376221.0603913069</v>
      </c>
      <c r="Q16" s="39">
        <f t="shared" si="4"/>
      </c>
      <c r="R16" s="39">
        <f t="shared" si="5"/>
        <v>376221.0603913069</v>
      </c>
      <c r="S16" s="39">
        <f t="shared" si="6"/>
        <v>376221.0603913069</v>
      </c>
      <c r="T16" s="39">
        <f t="shared" si="7"/>
        <v>376221.0603913069</v>
      </c>
      <c r="U16" s="39">
        <f t="shared" si="8"/>
        <v>376221.0603913069</v>
      </c>
      <c r="V16" s="43">
        <f t="shared" si="9"/>
      </c>
      <c r="W16" s="39">
        <f t="shared" si="10"/>
      </c>
      <c r="X16" s="39">
        <f t="shared" si="11"/>
      </c>
      <c r="Y16" s="39">
        <f t="shared" si="12"/>
      </c>
    </row>
    <row r="17" spans="1:25" ht="15">
      <c r="A17" s="17">
        <v>4</v>
      </c>
      <c r="B17" s="20" t="str">
        <f t="shared" si="0"/>
        <v>JUAN CARLOS FOLLECO</v>
      </c>
      <c r="C17" s="22">
        <f t="shared" si="1"/>
        <v>0</v>
      </c>
      <c r="D17" s="3" t="s">
        <v>3</v>
      </c>
      <c r="E17" s="39" t="str">
        <f t="shared" si="13"/>
        <v>NO</v>
      </c>
      <c r="F17" s="39" t="str">
        <f t="shared" si="14"/>
        <v>NO</v>
      </c>
      <c r="G17" s="40">
        <f t="shared" si="15"/>
        <v>1</v>
      </c>
      <c r="H17" s="44"/>
      <c r="I17" s="44"/>
      <c r="J17" s="39"/>
      <c r="K17" s="44"/>
      <c r="L17" s="44"/>
      <c r="M17" s="42">
        <f t="shared" si="2"/>
        <v>1</v>
      </c>
      <c r="N17" s="44"/>
      <c r="O17" s="39" t="str">
        <f t="shared" si="16"/>
        <v>P</v>
      </c>
      <c r="P17" s="40" t="str">
        <f t="shared" si="3"/>
        <v>N</v>
      </c>
      <c r="Q17" s="39">
        <f t="shared" si="4"/>
      </c>
      <c r="R17" s="39" t="str">
        <f t="shared" si="5"/>
        <v>N</v>
      </c>
      <c r="S17" s="39" t="str">
        <f t="shared" si="6"/>
        <v>N</v>
      </c>
      <c r="T17" s="39" t="str">
        <f t="shared" si="7"/>
        <v>N</v>
      </c>
      <c r="U17" s="39" t="str">
        <f t="shared" si="8"/>
        <v>N</v>
      </c>
      <c r="V17" s="43">
        <f t="shared" si="9"/>
      </c>
      <c r="W17" s="39">
        <f t="shared" si="10"/>
      </c>
      <c r="X17" s="39">
        <f t="shared" si="11"/>
      </c>
      <c r="Y17" s="39">
        <f t="shared" si="12"/>
      </c>
    </row>
    <row r="18" spans="1:25" ht="15">
      <c r="A18" s="17">
        <v>5</v>
      </c>
      <c r="B18" s="20" t="str">
        <f t="shared" si="0"/>
        <v>ALVARO CARVAJAL VALENCIA</v>
      </c>
      <c r="C18" s="22">
        <f t="shared" si="1"/>
        <v>83330859</v>
      </c>
      <c r="D18" s="3" t="s">
        <v>3</v>
      </c>
      <c r="E18" s="39" t="str">
        <f t="shared" si="13"/>
        <v>SI</v>
      </c>
      <c r="F18" s="39" t="str">
        <f t="shared" si="14"/>
        <v>SI</v>
      </c>
      <c r="G18" s="40">
        <f t="shared" si="15"/>
        <v>83330859</v>
      </c>
      <c r="H18" s="44"/>
      <c r="I18" s="44"/>
      <c r="J18" s="39"/>
      <c r="K18" s="44"/>
      <c r="L18" s="44"/>
      <c r="M18" s="42">
        <f t="shared" si="2"/>
        <v>83330859</v>
      </c>
      <c r="N18" s="44"/>
      <c r="O18" s="39" t="str">
        <f t="shared" si="16"/>
        <v>P</v>
      </c>
      <c r="P18" s="40">
        <f t="shared" si="3"/>
        <v>32425.060391306877</v>
      </c>
      <c r="Q18" s="39">
        <f t="shared" si="4"/>
      </c>
      <c r="R18" s="39">
        <f t="shared" si="5"/>
        <v>32425.060391306877</v>
      </c>
      <c r="S18" s="39" t="str">
        <f t="shared" si="6"/>
        <v>N</v>
      </c>
      <c r="T18" s="39" t="str">
        <f t="shared" si="7"/>
        <v>N</v>
      </c>
      <c r="U18" s="39" t="str">
        <f t="shared" si="8"/>
        <v>N</v>
      </c>
      <c r="V18" s="43" t="str">
        <f t="shared" si="9"/>
        <v>2º</v>
      </c>
      <c r="W18" s="39">
        <f t="shared" si="10"/>
      </c>
      <c r="X18" s="39">
        <f t="shared" si="11"/>
      </c>
      <c r="Y18" s="39">
        <f t="shared" si="12"/>
      </c>
    </row>
    <row r="19" spans="1:25" ht="15">
      <c r="A19" s="17">
        <v>6</v>
      </c>
      <c r="B19" s="20" t="str">
        <f t="shared" si="0"/>
        <v>MARIA EUGENIA TRUJILLO</v>
      </c>
      <c r="C19" s="22">
        <f t="shared" si="1"/>
        <v>82966313</v>
      </c>
      <c r="D19" s="3" t="s">
        <v>3</v>
      </c>
      <c r="E19" s="39" t="str">
        <f t="shared" si="13"/>
        <v>SI</v>
      </c>
      <c r="F19" s="39" t="str">
        <f t="shared" si="14"/>
        <v>SI</v>
      </c>
      <c r="G19" s="40">
        <f t="shared" si="15"/>
        <v>82966313</v>
      </c>
      <c r="H19" s="44"/>
      <c r="I19" s="44"/>
      <c r="J19" s="39"/>
      <c r="K19" s="44"/>
      <c r="L19" s="44"/>
      <c r="M19" s="42">
        <f t="shared" si="2"/>
        <v>82966313</v>
      </c>
      <c r="N19" s="44"/>
      <c r="O19" s="39">
        <f t="shared" si="16"/>
        <v>82966313</v>
      </c>
      <c r="P19" s="40">
        <f t="shared" si="3"/>
        <v>332120.9396086931</v>
      </c>
      <c r="Q19" s="39">
        <f t="shared" si="4"/>
      </c>
      <c r="R19" s="39">
        <f t="shared" si="5"/>
        <v>332120.9396086931</v>
      </c>
      <c r="S19" s="39">
        <f t="shared" si="6"/>
        <v>332120.9396086931</v>
      </c>
      <c r="T19" s="39">
        <f t="shared" si="7"/>
        <v>332120.9396086931</v>
      </c>
      <c r="U19" s="39">
        <f t="shared" si="8"/>
        <v>332120.9396086931</v>
      </c>
      <c r="V19" s="43">
        <f t="shared" si="9"/>
      </c>
      <c r="W19" s="39">
        <f t="shared" si="10"/>
      </c>
      <c r="X19" s="39">
        <f t="shared" si="11"/>
      </c>
      <c r="Y19" s="39">
        <f t="shared" si="12"/>
      </c>
    </row>
    <row r="20" spans="1:25" ht="15">
      <c r="A20" s="17">
        <v>7</v>
      </c>
      <c r="B20" s="20" t="str">
        <f t="shared" si="0"/>
        <v>ANDRES FELIPE ACOSTA</v>
      </c>
      <c r="C20" s="22">
        <f t="shared" si="1"/>
        <v>83783028</v>
      </c>
      <c r="D20" s="3" t="s">
        <v>3</v>
      </c>
      <c r="E20" s="39" t="str">
        <f t="shared" si="13"/>
        <v>SI</v>
      </c>
      <c r="F20" s="39" t="str">
        <f t="shared" si="14"/>
        <v>SI</v>
      </c>
      <c r="G20" s="40">
        <f t="shared" si="15"/>
        <v>83783028</v>
      </c>
      <c r="H20" s="44"/>
      <c r="I20" s="44"/>
      <c r="J20" s="39"/>
      <c r="K20" s="44"/>
      <c r="L20" s="44"/>
      <c r="M20" s="42">
        <f t="shared" si="2"/>
        <v>83783028</v>
      </c>
      <c r="N20" s="44"/>
      <c r="O20" s="39" t="str">
        <f t="shared" si="16"/>
        <v>P</v>
      </c>
      <c r="P20" s="40">
        <f t="shared" si="3"/>
        <v>484594.0603913069</v>
      </c>
      <c r="Q20" s="39">
        <f t="shared" si="4"/>
      </c>
      <c r="R20" s="39">
        <f t="shared" si="5"/>
        <v>484594.0603913069</v>
      </c>
      <c r="S20" s="39">
        <f t="shared" si="6"/>
        <v>484594.0603913069</v>
      </c>
      <c r="T20" s="39">
        <f t="shared" si="7"/>
        <v>484594.0603913069</v>
      </c>
      <c r="U20" s="39">
        <f t="shared" si="8"/>
        <v>484594.0603913069</v>
      </c>
      <c r="V20" s="43">
        <f t="shared" si="9"/>
      </c>
      <c r="W20" s="39">
        <f t="shared" si="10"/>
      </c>
      <c r="X20" s="39">
        <f t="shared" si="11"/>
      </c>
      <c r="Y20" s="39">
        <f t="shared" si="12"/>
      </c>
    </row>
    <row r="21" spans="1:25" ht="15">
      <c r="A21" s="17">
        <v>9</v>
      </c>
      <c r="B21" s="20" t="str">
        <f t="shared" si="0"/>
        <v>ORLANDO HURTADO FERNANDEZ</v>
      </c>
      <c r="C21" s="22">
        <f t="shared" si="1"/>
        <v>82999208</v>
      </c>
      <c r="D21" s="3" t="s">
        <v>3</v>
      </c>
      <c r="E21" s="39" t="str">
        <f t="shared" si="13"/>
        <v>SI</v>
      </c>
      <c r="F21" s="39" t="str">
        <f t="shared" si="14"/>
        <v>SI</v>
      </c>
      <c r="G21" s="40">
        <f t="shared" si="15"/>
        <v>82999208</v>
      </c>
      <c r="H21" s="44"/>
      <c r="I21" s="44"/>
      <c r="J21" s="39"/>
      <c r="K21" s="44"/>
      <c r="L21" s="44"/>
      <c r="M21" s="42">
        <f t="shared" si="2"/>
        <v>82999208</v>
      </c>
      <c r="N21" s="44"/>
      <c r="O21" s="39">
        <f t="shared" si="16"/>
        <v>82999208</v>
      </c>
      <c r="P21" s="40">
        <f t="shared" si="3"/>
        <v>299225.9396086931</v>
      </c>
      <c r="Q21" s="39">
        <f t="shared" si="4"/>
      </c>
      <c r="R21" s="39">
        <f t="shared" si="5"/>
        <v>299225.9396086931</v>
      </c>
      <c r="S21" s="39">
        <f t="shared" si="6"/>
        <v>299225.9396086931</v>
      </c>
      <c r="T21" s="39">
        <f t="shared" si="7"/>
        <v>299225.9396086931</v>
      </c>
      <c r="U21" s="39">
        <f t="shared" si="8"/>
        <v>299225.9396086931</v>
      </c>
      <c r="V21" s="43">
        <f t="shared" si="9"/>
      </c>
      <c r="W21" s="39">
        <f t="shared" si="10"/>
      </c>
      <c r="X21" s="39">
        <f t="shared" si="11"/>
      </c>
      <c r="Y21" s="39" t="str">
        <f t="shared" si="12"/>
        <v>5º</v>
      </c>
    </row>
    <row r="22" spans="1:25" ht="15">
      <c r="A22" s="17">
        <v>10</v>
      </c>
      <c r="B22" s="20" t="str">
        <f t="shared" si="0"/>
        <v>CARMEN GIRLESA VERA</v>
      </c>
      <c r="C22" s="22">
        <f t="shared" si="1"/>
        <v>82646920</v>
      </c>
      <c r="D22" s="3" t="s">
        <v>3</v>
      </c>
      <c r="E22" s="39" t="str">
        <f t="shared" si="13"/>
        <v>SI</v>
      </c>
      <c r="F22" s="39" t="str">
        <f t="shared" si="14"/>
        <v>SI</v>
      </c>
      <c r="G22" s="40">
        <f t="shared" si="15"/>
        <v>82646920</v>
      </c>
      <c r="H22" s="44"/>
      <c r="I22" s="44"/>
      <c r="J22" s="39"/>
      <c r="K22" s="44"/>
      <c r="L22" s="44"/>
      <c r="M22" s="42">
        <f t="shared" si="2"/>
        <v>82646920</v>
      </c>
      <c r="N22" s="44"/>
      <c r="O22" s="39">
        <f t="shared" si="16"/>
        <v>82646920</v>
      </c>
      <c r="P22" s="40">
        <f t="shared" si="3"/>
        <v>651513.9396086931</v>
      </c>
      <c r="Q22" s="39">
        <f t="shared" si="4"/>
      </c>
      <c r="R22" s="39">
        <f t="shared" si="5"/>
        <v>651513.9396086931</v>
      </c>
      <c r="S22" s="39">
        <f t="shared" si="6"/>
        <v>651513.9396086931</v>
      </c>
      <c r="T22" s="39">
        <f t="shared" si="7"/>
        <v>651513.9396086931</v>
      </c>
      <c r="U22" s="39">
        <f t="shared" si="8"/>
        <v>651513.9396086931</v>
      </c>
      <c r="V22" s="43">
        <f t="shared" si="9"/>
      </c>
      <c r="W22" s="39">
        <f t="shared" si="10"/>
      </c>
      <c r="X22" s="39">
        <f t="shared" si="11"/>
      </c>
      <c r="Y22" s="39">
        <f t="shared" si="12"/>
      </c>
    </row>
    <row r="23" spans="1:25" ht="15">
      <c r="A23" s="17">
        <v>11</v>
      </c>
      <c r="B23" s="20" t="str">
        <f t="shared" si="0"/>
        <v>DIEGO REINEL FERNANDEZ</v>
      </c>
      <c r="C23" s="22">
        <f t="shared" si="1"/>
        <v>83726125</v>
      </c>
      <c r="D23" s="3" t="s">
        <v>3</v>
      </c>
      <c r="E23" s="39" t="str">
        <f t="shared" si="13"/>
        <v>SI</v>
      </c>
      <c r="F23" s="39" t="str">
        <f t="shared" si="14"/>
        <v>SI</v>
      </c>
      <c r="G23" s="40">
        <f t="shared" si="15"/>
        <v>83726125</v>
      </c>
      <c r="H23" s="44"/>
      <c r="I23" s="44"/>
      <c r="J23" s="39"/>
      <c r="K23" s="44"/>
      <c r="L23" s="44"/>
      <c r="M23" s="42">
        <f t="shared" si="2"/>
        <v>83726125</v>
      </c>
      <c r="N23" s="44"/>
      <c r="O23" s="39" t="str">
        <f t="shared" si="16"/>
        <v>P</v>
      </c>
      <c r="P23" s="40">
        <f t="shared" si="3"/>
        <v>427691.0603913069</v>
      </c>
      <c r="Q23" s="39">
        <f t="shared" si="4"/>
      </c>
      <c r="R23" s="39">
        <f t="shared" si="5"/>
        <v>427691.0603913069</v>
      </c>
      <c r="S23" s="39">
        <f t="shared" si="6"/>
        <v>427691.0603913069</v>
      </c>
      <c r="T23" s="39">
        <f t="shared" si="7"/>
        <v>427691.0603913069</v>
      </c>
      <c r="U23" s="39">
        <f t="shared" si="8"/>
        <v>427691.0603913069</v>
      </c>
      <c r="V23" s="43">
        <f t="shared" si="9"/>
      </c>
      <c r="W23" s="39">
        <f t="shared" si="10"/>
      </c>
      <c r="X23" s="39">
        <f t="shared" si="11"/>
      </c>
      <c r="Y23" s="39">
        <f t="shared" si="12"/>
      </c>
    </row>
    <row r="24" spans="1:25" ht="15">
      <c r="A24" s="17">
        <v>12</v>
      </c>
      <c r="B24" s="20" t="str">
        <f t="shared" si="0"/>
        <v>ROBERT DE JESUS HOYOS</v>
      </c>
      <c r="C24" s="22">
        <f t="shared" si="1"/>
        <v>83616648</v>
      </c>
      <c r="D24" s="3" t="s">
        <v>3</v>
      </c>
      <c r="E24" s="39" t="str">
        <f t="shared" si="13"/>
        <v>SI</v>
      </c>
      <c r="F24" s="39" t="str">
        <f t="shared" si="14"/>
        <v>SI</v>
      </c>
      <c r="G24" s="40">
        <f t="shared" si="15"/>
        <v>83616648</v>
      </c>
      <c r="H24" s="44"/>
      <c r="I24" s="44"/>
      <c r="J24" s="39"/>
      <c r="K24" s="44"/>
      <c r="L24" s="44"/>
      <c r="M24" s="42">
        <f t="shared" si="2"/>
        <v>83616648</v>
      </c>
      <c r="N24" s="44"/>
      <c r="O24" s="39" t="str">
        <f t="shared" si="16"/>
        <v>P</v>
      </c>
      <c r="P24" s="40">
        <f t="shared" si="3"/>
        <v>318214.0603913069</v>
      </c>
      <c r="Q24" s="39">
        <f t="shared" si="4"/>
      </c>
      <c r="R24" s="39">
        <f t="shared" si="5"/>
        <v>318214.0603913069</v>
      </c>
      <c r="S24" s="39">
        <f t="shared" si="6"/>
        <v>318214.0603913069</v>
      </c>
      <c r="T24" s="39">
        <f t="shared" si="7"/>
        <v>318214.0603913069</v>
      </c>
      <c r="U24" s="39">
        <f t="shared" si="8"/>
        <v>318214.0603913069</v>
      </c>
      <c r="V24" s="43">
        <f t="shared" si="9"/>
      </c>
      <c r="W24" s="39">
        <f t="shared" si="10"/>
      </c>
      <c r="X24" s="39">
        <f t="shared" si="11"/>
      </c>
      <c r="Y24" s="39">
        <f t="shared" si="12"/>
      </c>
    </row>
    <row r="25" spans="1:25" ht="15">
      <c r="A25" s="17">
        <v>13</v>
      </c>
      <c r="B25" s="20" t="str">
        <f t="shared" si="0"/>
        <v>LUCERCIA MONTILLA</v>
      </c>
      <c r="C25" s="22">
        <f t="shared" si="1"/>
        <v>83435063</v>
      </c>
      <c r="D25" s="3" t="s">
        <v>3</v>
      </c>
      <c r="E25" s="39" t="str">
        <f t="shared" si="13"/>
        <v>SI</v>
      </c>
      <c r="F25" s="39" t="str">
        <f t="shared" si="14"/>
        <v>SI</v>
      </c>
      <c r="G25" s="40">
        <f t="shared" si="15"/>
        <v>83435063</v>
      </c>
      <c r="H25" s="44"/>
      <c r="I25" s="44"/>
      <c r="J25" s="39"/>
      <c r="K25" s="44"/>
      <c r="L25" s="44"/>
      <c r="M25" s="42">
        <f t="shared" si="2"/>
        <v>83435063</v>
      </c>
      <c r="N25" s="44"/>
      <c r="O25" s="39" t="str">
        <f t="shared" si="16"/>
        <v>P</v>
      </c>
      <c r="P25" s="40">
        <f t="shared" si="3"/>
        <v>136629.06039130688</v>
      </c>
      <c r="Q25" s="39">
        <f t="shared" si="4"/>
      </c>
      <c r="R25" s="39">
        <f t="shared" si="5"/>
        <v>136629.06039130688</v>
      </c>
      <c r="S25" s="39">
        <f t="shared" si="6"/>
        <v>136629.06039130688</v>
      </c>
      <c r="T25" s="39">
        <f t="shared" si="7"/>
        <v>136629.06039130688</v>
      </c>
      <c r="U25" s="39" t="str">
        <f t="shared" si="8"/>
        <v>N</v>
      </c>
      <c r="V25" s="43">
        <f t="shared" si="9"/>
      </c>
      <c r="W25" s="39">
        <f t="shared" si="10"/>
      </c>
      <c r="X25" s="39" t="str">
        <f t="shared" si="11"/>
        <v>4º</v>
      </c>
      <c r="Y25" s="39">
        <f t="shared" si="12"/>
      </c>
    </row>
    <row r="26" spans="1:25" ht="15">
      <c r="A26" s="17">
        <v>14</v>
      </c>
      <c r="B26" s="20" t="str">
        <f t="shared" si="0"/>
        <v>FIDEL MODESTO MOSQUERA</v>
      </c>
      <c r="C26" s="22">
        <f t="shared" si="1"/>
        <v>83269038</v>
      </c>
      <c r="D26" s="3" t="s">
        <v>3</v>
      </c>
      <c r="E26" s="39" t="str">
        <f t="shared" si="13"/>
        <v>SI</v>
      </c>
      <c r="F26" s="39" t="str">
        <f t="shared" si="14"/>
        <v>SI</v>
      </c>
      <c r="G26" s="40">
        <f t="shared" si="15"/>
        <v>83269038</v>
      </c>
      <c r="H26" s="44"/>
      <c r="I26" s="44"/>
      <c r="J26" s="39"/>
      <c r="K26" s="44"/>
      <c r="L26" s="44"/>
      <c r="M26" s="42">
        <f t="shared" si="2"/>
        <v>83269038</v>
      </c>
      <c r="N26" s="44"/>
      <c r="O26" s="39">
        <f t="shared" si="16"/>
        <v>83269038</v>
      </c>
      <c r="P26" s="40">
        <f t="shared" si="3"/>
        <v>29395.939608693123</v>
      </c>
      <c r="Q26" s="39" t="str">
        <f t="shared" si="4"/>
        <v>GANADOR</v>
      </c>
      <c r="R26" s="39" t="str">
        <f t="shared" si="5"/>
        <v>N</v>
      </c>
      <c r="S26" s="39" t="str">
        <f t="shared" si="6"/>
        <v>N</v>
      </c>
      <c r="T26" s="39" t="str">
        <f t="shared" si="7"/>
        <v>N</v>
      </c>
      <c r="U26" s="39" t="str">
        <f t="shared" si="8"/>
        <v>N</v>
      </c>
      <c r="V26" s="43">
        <f t="shared" si="9"/>
      </c>
      <c r="W26" s="39">
        <f t="shared" si="10"/>
      </c>
      <c r="X26" s="39">
        <f t="shared" si="11"/>
      </c>
      <c r="Y26" s="39">
        <f t="shared" si="12"/>
      </c>
    </row>
    <row r="27" spans="1:25" ht="15">
      <c r="A27" s="17">
        <v>15</v>
      </c>
      <c r="B27" s="20" t="str">
        <f t="shared" si="0"/>
        <v>HELIO JOSE LOMBANA</v>
      </c>
      <c r="C27" s="22">
        <f t="shared" si="1"/>
        <v>82981053</v>
      </c>
      <c r="D27" s="3" t="s">
        <v>3</v>
      </c>
      <c r="E27" s="39" t="str">
        <f t="shared" si="13"/>
        <v>SI</v>
      </c>
      <c r="F27" s="39" t="str">
        <f t="shared" si="14"/>
        <v>SI</v>
      </c>
      <c r="G27" s="40">
        <f t="shared" si="15"/>
        <v>82981053</v>
      </c>
      <c r="H27" s="44"/>
      <c r="I27" s="44"/>
      <c r="J27" s="39"/>
      <c r="K27" s="44"/>
      <c r="L27" s="44"/>
      <c r="M27" s="42">
        <f t="shared" si="2"/>
        <v>82981053</v>
      </c>
      <c r="N27" s="44"/>
      <c r="O27" s="39">
        <f t="shared" si="16"/>
        <v>82981053</v>
      </c>
      <c r="P27" s="40">
        <f t="shared" si="3"/>
        <v>317380.9396086931</v>
      </c>
      <c r="Q27" s="39">
        <f t="shared" si="4"/>
      </c>
      <c r="R27" s="39">
        <f t="shared" si="5"/>
        <v>317380.9396086931</v>
      </c>
      <c r="S27" s="39">
        <f t="shared" si="6"/>
        <v>317380.9396086931</v>
      </c>
      <c r="T27" s="39">
        <f t="shared" si="7"/>
        <v>317380.9396086931</v>
      </c>
      <c r="U27" s="39">
        <f t="shared" si="8"/>
        <v>317380.9396086931</v>
      </c>
      <c r="V27" s="43">
        <f t="shared" si="9"/>
      </c>
      <c r="W27" s="39">
        <f t="shared" si="10"/>
      </c>
      <c r="X27" s="39">
        <f t="shared" si="11"/>
      </c>
      <c r="Y27" s="39">
        <f t="shared" si="12"/>
      </c>
    </row>
    <row r="29" spans="13:21" ht="15">
      <c r="M29" s="13">
        <f>COUNTIF(M14:M27,"&gt;1")</f>
        <v>13</v>
      </c>
      <c r="N29" s="4" t="s">
        <v>26</v>
      </c>
      <c r="O29" s="14">
        <f>MAX(O14:O27)</f>
        <v>83269038</v>
      </c>
      <c r="P29" s="49">
        <f>MIN(P14:P27)</f>
        <v>29395.939608693123</v>
      </c>
      <c r="R29" s="1">
        <f>MIN(R14:R27)</f>
        <v>32425.060391306877</v>
      </c>
      <c r="S29" s="1">
        <f>MIN(S14:S27)</f>
        <v>129012.06039130688</v>
      </c>
      <c r="T29" s="1">
        <f>MIN(T14:T27)</f>
        <v>136629.06039130688</v>
      </c>
      <c r="U29" s="1">
        <f>MIN(U14:U27)</f>
        <v>299225.9396086931</v>
      </c>
    </row>
    <row r="30" spans="3:15" ht="15">
      <c r="C30" s="21"/>
      <c r="D30" s="34" t="s">
        <v>3</v>
      </c>
      <c r="N30" s="4" t="s">
        <v>25</v>
      </c>
      <c r="O30" s="15">
        <f>MIN(O14:O27)</f>
        <v>82646920</v>
      </c>
    </row>
    <row r="31" ht="15">
      <c r="D31" s="34" t="s">
        <v>4</v>
      </c>
    </row>
    <row r="32" ht="15">
      <c r="D32" s="34">
        <f>COUNT(B14:B27)</f>
        <v>0</v>
      </c>
    </row>
    <row r="34" spans="2:7" ht="15">
      <c r="B34" s="64" t="s">
        <v>18</v>
      </c>
      <c r="C34" s="64"/>
      <c r="D34" s="25">
        <f>C10</f>
        <v>84003063</v>
      </c>
      <c r="E34" s="8"/>
      <c r="F34" s="8"/>
      <c r="G34" s="8"/>
    </row>
    <row r="35" spans="2:7" ht="15.75">
      <c r="B35" s="65" t="s">
        <v>19</v>
      </c>
      <c r="C35" s="65"/>
      <c r="D35" s="26">
        <f>J14</f>
        <v>83289339.84615384</v>
      </c>
      <c r="E35" s="9"/>
      <c r="F35" s="9"/>
      <c r="G35" s="9"/>
    </row>
    <row r="36" spans="2:7" ht="15">
      <c r="B36" s="62" t="s">
        <v>20</v>
      </c>
      <c r="C36" s="62"/>
      <c r="D36" s="26">
        <f>N14</f>
        <v>83289339.84615384</v>
      </c>
      <c r="E36" s="10"/>
      <c r="F36" s="10"/>
      <c r="G36" s="11"/>
    </row>
    <row r="37" spans="2:7" ht="15">
      <c r="B37" s="62" t="s">
        <v>31</v>
      </c>
      <c r="C37" s="62"/>
      <c r="D37" s="26">
        <f>O29</f>
        <v>83269038</v>
      </c>
      <c r="E37" s="10"/>
      <c r="F37" s="10"/>
      <c r="G37" s="10"/>
    </row>
    <row r="38" spans="2:9" ht="15">
      <c r="B38" s="62" t="s">
        <v>21</v>
      </c>
      <c r="C38" s="62"/>
      <c r="D38" s="26">
        <f>O30</f>
        <v>82646920</v>
      </c>
      <c r="E38" s="10"/>
      <c r="F38" s="10"/>
      <c r="G38" s="10"/>
      <c r="I38" s="7"/>
    </row>
    <row r="39" ht="15">
      <c r="I39" s="2"/>
    </row>
    <row r="40" spans="2:9" ht="15">
      <c r="B40" s="45" t="s">
        <v>22</v>
      </c>
      <c r="C40" s="45"/>
      <c r="D40" s="46">
        <f>(PRODUCT(D34:D38))^(1/5)</f>
        <v>83298433.9396087</v>
      </c>
      <c r="E40" s="12"/>
      <c r="F40" s="12"/>
      <c r="G40" s="12"/>
      <c r="I40" s="2"/>
    </row>
    <row r="44" ht="15">
      <c r="I44" s="2"/>
    </row>
    <row r="46" ht="15">
      <c r="H46">
        <v>0</v>
      </c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</sheetData>
  <sheetProtection/>
  <mergeCells count="16">
    <mergeCell ref="A1:Y1"/>
    <mergeCell ref="P8:Y8"/>
    <mergeCell ref="B38:C38"/>
    <mergeCell ref="K12:L12"/>
    <mergeCell ref="B34:C34"/>
    <mergeCell ref="B35:C35"/>
    <mergeCell ref="B36:C36"/>
    <mergeCell ref="B37:C37"/>
    <mergeCell ref="B9:Y9"/>
    <mergeCell ref="V13:Y13"/>
    <mergeCell ref="A6:S6"/>
    <mergeCell ref="A5:Y5"/>
    <mergeCell ref="A7:Y7"/>
    <mergeCell ref="A3:Y3"/>
    <mergeCell ref="A4:Y4"/>
    <mergeCell ref="A2:Y2"/>
  </mergeCells>
  <dataValidations count="1">
    <dataValidation type="list" allowBlank="1" showInputMessage="1" showErrorMessage="1" sqref="E157:E176 D14:D27">
      <formula1>$D$30:$D$31</formula1>
    </dataValidation>
  </dataValidation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2010-11-10T23:11:03Z</cp:lastPrinted>
  <dcterms:created xsi:type="dcterms:W3CDTF">2010-03-17T04:07:38Z</dcterms:created>
  <dcterms:modified xsi:type="dcterms:W3CDTF">2010-11-10T23:28:57Z</dcterms:modified>
  <cp:category/>
  <cp:version/>
  <cp:contentType/>
  <cp:contentStatus/>
</cp:coreProperties>
</file>